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esktop\Websites from July 2016\paulsquires.co.uk\NJG\"/>
    </mc:Choice>
  </mc:AlternateContent>
  <xr:revisionPtr revIDLastSave="0" documentId="13_ncr:40009_{85F98875-4499-4000-B4B5-5E5C0DB7005F}" xr6:coauthVersionLast="45" xr6:coauthVersionMax="45" xr10:uidLastSave="{00000000-0000-0000-0000-000000000000}"/>
  <bookViews>
    <workbookView xWindow="-120" yWindow="-120" windowWidth="20730" windowHeight="11760"/>
  </bookViews>
  <sheets>
    <sheet name="Weight &amp; Balance " sheetId="4" r:id="rId1"/>
    <sheet name="W&amp;B calculator 2" sheetId="5" r:id="rId2"/>
    <sheet name="W&amp;B Chart" sheetId="6" r:id="rId3"/>
  </sheets>
  <externalReferences>
    <externalReference r:id="rId4"/>
  </externalReferences>
  <definedNames>
    <definedName name="altitude">'[1]Pre-flight Calculations'!$C$14</definedName>
    <definedName name="headwind">'[1]Pre-flight Calculations'!$C$10</definedName>
    <definedName name="landing_altitude">'[1]Pre-flight Calculations'!$I$14</definedName>
    <definedName name="landing_headwind">'[1]Pre-flight Calculations'!$I$10</definedName>
    <definedName name="landing_runway_direction">'[1]Pre-flight Calculations'!$I$9</definedName>
    <definedName name="landing_temp">'[1]Pre-flight Calculations'!$I$13</definedName>
    <definedName name="landing_temperature">'[1]Pre-flight Calculations'!$I$13</definedName>
    <definedName name="landing_wind_direction">'[1]Pre-flight Calculations'!$I$8</definedName>
    <definedName name="landing_windspeed">'[1]Pre-flight Calculations'!$I$7</definedName>
    <definedName name="runway_direction">'[1]Pre-flight Calculations'!$C$9</definedName>
    <definedName name="safety_factor">'[1]Pre-flight Calculations'!$AC$37</definedName>
    <definedName name="takeoff_runway_direction">'[1]Pre-flight Calculations'!$C$9</definedName>
    <definedName name="takeoff_wind_direction">'[1]Pre-flight Calculations'!$C$8</definedName>
    <definedName name="takeoff_windspeed">'[1]Pre-flight Calculations'!$C$7</definedName>
    <definedName name="temperature">'[1]Pre-flight Calculations'!$C$13</definedName>
    <definedName name="weight">'[1]Pre-flight Calculations'!$C$12</definedName>
    <definedName name="wind_direction">'[1]Pre-flight Calculations'!$C$8</definedName>
    <definedName name="windspeed">'[1]Pre-flight Calculations'!$C$7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" l="1"/>
  <c r="C15" i="4"/>
  <c r="E13" i="4"/>
  <c r="E10" i="4"/>
  <c r="E11" i="4"/>
  <c r="E12" i="4"/>
  <c r="K7" i="5"/>
  <c r="K8" i="5"/>
  <c r="K9" i="5"/>
  <c r="G11" i="5"/>
  <c r="K11" i="5" s="1"/>
  <c r="K12" i="5"/>
  <c r="K15" i="5"/>
  <c r="G20" i="5"/>
  <c r="K20" i="5" s="1"/>
  <c r="C19" i="4"/>
  <c r="E19" i="4" s="1"/>
  <c r="F5" i="4"/>
  <c r="F6" i="4"/>
  <c r="C14" i="4"/>
  <c r="C16" i="4" s="1"/>
  <c r="E15" i="4"/>
  <c r="E17" i="4"/>
  <c r="G14" i="5" l="1"/>
  <c r="G16" i="5" s="1"/>
  <c r="G19" i="5" s="1"/>
  <c r="G21" i="5" s="1"/>
  <c r="K14" i="5"/>
  <c r="I14" i="5" s="1"/>
  <c r="E14" i="4"/>
  <c r="E16" i="4" s="1"/>
  <c r="E18" i="4" s="1"/>
  <c r="E20" i="4" s="1"/>
  <c r="C18" i="4"/>
  <c r="D16" i="4"/>
  <c r="K16" i="5" l="1"/>
  <c r="I16" i="5" s="1"/>
  <c r="C23" i="4"/>
  <c r="J29" i="4" s="1"/>
  <c r="C20" i="4"/>
  <c r="I29" i="4"/>
  <c r="B23" i="4"/>
  <c r="D18" i="4"/>
  <c r="C29" i="4"/>
  <c r="D29" i="4" s="1"/>
  <c r="E23" i="4" s="1"/>
  <c r="K19" i="5" l="1"/>
  <c r="K21" i="5" s="1"/>
  <c r="I21" i="5" s="1"/>
  <c r="D23" i="4"/>
  <c r="C30" i="4"/>
  <c r="D30" i="4" s="1"/>
  <c r="E24" i="4" s="1"/>
  <c r="I30" i="4"/>
  <c r="B24" i="4"/>
  <c r="C24" i="4"/>
  <c r="I19" i="5" l="1"/>
  <c r="D24" i="4"/>
  <c r="J30" i="4"/>
</calcChain>
</file>

<file path=xl/comments1.xml><?xml version="1.0" encoding="utf-8"?>
<comments xmlns="http://schemas.openxmlformats.org/spreadsheetml/2006/main">
  <authors>
    <author>Paul Squires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 xml:space="preserve">Fuel capacity:
77 USG but 5 USG unusable = 72 USG (36 USG per wing) </t>
        </r>
        <r>
          <rPr>
            <b/>
            <sz val="8"/>
            <color indexed="10"/>
            <rFont val="Tahoma"/>
            <family val="2"/>
          </rPr>
          <t>Minimum recommended total for T/O is 1/4 tanks - 18USG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 xml:space="preserve">Includes Full oil &amp; 5 USG unusable Fuel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 xml:space="preserve">Baggage aft: </t>
        </r>
        <r>
          <rPr>
            <b/>
            <sz val="8"/>
            <color indexed="10"/>
            <rFont val="Tahoma"/>
            <family val="2"/>
          </rPr>
          <t>Maximum 200lbs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<sst xmlns="http://schemas.openxmlformats.org/spreadsheetml/2006/main" count="58" uniqueCount="55">
  <si>
    <t>Start fuel (gal):</t>
  </si>
  <si>
    <t>Max ramp:</t>
  </si>
  <si>
    <t>Flight time (min):</t>
  </si>
  <si>
    <t>Max t/o:</t>
  </si>
  <si>
    <t>Fuel flow (gal/hr):</t>
  </si>
  <si>
    <t>Endurance:</t>
  </si>
  <si>
    <t>Cruise speed:</t>
  </si>
  <si>
    <t>Reserve (min):</t>
  </si>
  <si>
    <t>Loading</t>
  </si>
  <si>
    <t>Weight</t>
  </si>
  <si>
    <t>Arm</t>
  </si>
  <si>
    <t>Moment/100</t>
  </si>
  <si>
    <t>Empty weight:</t>
  </si>
  <si>
    <t>Pilots:</t>
  </si>
  <si>
    <t>Rear pax:</t>
  </si>
  <si>
    <t>Baggage (rear):</t>
  </si>
  <si>
    <t>Zero fuel weight:</t>
  </si>
  <si>
    <t>Fuel:</t>
  </si>
  <si>
    <t>Ramp weight:</t>
  </si>
  <si>
    <t>Taxy fuel:</t>
  </si>
  <si>
    <t>Take-off weight:</t>
  </si>
  <si>
    <t>Trip fuel:</t>
  </si>
  <si>
    <t>Landing weight:</t>
  </si>
  <si>
    <t>Centre of Gravity</t>
  </si>
  <si>
    <t>Limits</t>
  </si>
  <si>
    <t>For Graph</t>
  </si>
  <si>
    <t>CoG Envelope</t>
  </si>
  <si>
    <t>Fwd limit</t>
  </si>
  <si>
    <t>Aft limit</t>
  </si>
  <si>
    <t>Take-off:</t>
  </si>
  <si>
    <t>t/o</t>
  </si>
  <si>
    <t>Landing:</t>
  </si>
  <si>
    <t>landing</t>
  </si>
  <si>
    <t>Fuel (gal)</t>
  </si>
  <si>
    <t>Weight (lbs)</t>
  </si>
  <si>
    <t>Arm Aft Datum (inches)</t>
  </si>
  <si>
    <t>Moment (in-lbs)</t>
  </si>
  <si>
    <t>Basic Empty Weight</t>
  </si>
  <si>
    <t>Pilot</t>
  </si>
  <si>
    <t>Front Passenger</t>
  </si>
  <si>
    <t>Passenger(s) - Rear Seats</t>
  </si>
  <si>
    <t>Max Fuel allowed by Gross Wt</t>
  </si>
  <si>
    <t>Baggage - Rear</t>
  </si>
  <si>
    <t xml:space="preserve"> </t>
  </si>
  <si>
    <t>Fuel Allowance for Pre-T/O</t>
  </si>
  <si>
    <t>Take-off Weight</t>
  </si>
  <si>
    <t>Less Estimated Trip Fuel Burn</t>
  </si>
  <si>
    <t xml:space="preserve">Landing Weight </t>
  </si>
  <si>
    <t>Max 72</t>
  </si>
  <si>
    <t>Range(excl res):</t>
  </si>
  <si>
    <t>N2943D PiperArrow IV - PA-28RT-201 - Weight &amp; Balance pre-flight check</t>
  </si>
  <si>
    <t>Fuel On-Board- 72 gal useable max</t>
  </si>
  <si>
    <t>Ramp Weight (2750 lbs Max)</t>
  </si>
  <si>
    <t>Take-off Weight (2738 lbs Max)</t>
  </si>
  <si>
    <t>N2943D Piper Arrow IV PA28RT-201 Weight and Balance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</si>
</sst>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_);[Red]\(#,##0.0\)"/>
    <numFmt numFmtId="173" formatCode="0.0"/>
  </numFmts>
  <fonts count="13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.25"/>
      <color indexed="8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textRotation="180"/>
    </xf>
    <xf numFmtId="0" fontId="1" fillId="0" borderId="0"/>
  </cellStyleXfs>
  <cellXfs count="74">
    <xf numFmtId="0" fontId="0" fillId="0" borderId="0" xfId="0"/>
    <xf numFmtId="0" fontId="2" fillId="0" borderId="0" xfId="1" applyNumberFormat="1" applyFont="1" applyAlignment="1">
      <alignment horizontal="left" vertical="top"/>
    </xf>
    <xf numFmtId="0" fontId="1" fillId="0" borderId="0" xfId="1" applyNumberFormat="1" applyFont="1" applyAlignment="1">
      <alignment horizontal="left" vertical="top"/>
    </xf>
    <xf numFmtId="172" fontId="1" fillId="0" borderId="0" xfId="1" applyNumberFormat="1" applyFont="1" applyAlignment="1">
      <alignment horizontal="left" vertical="top"/>
    </xf>
    <xf numFmtId="0" fontId="1" fillId="0" borderId="0" xfId="1" applyAlignment="1">
      <alignment vertical="top"/>
    </xf>
    <xf numFmtId="0" fontId="1" fillId="0" borderId="1" xfId="1" applyNumberFormat="1" applyFont="1" applyBorder="1" applyAlignment="1">
      <alignment horizontal="right" vertical="top"/>
    </xf>
    <xf numFmtId="0" fontId="1" fillId="0" borderId="2" xfId="1" applyNumberFormat="1" applyFont="1" applyBorder="1" applyAlignment="1">
      <alignment horizontal="right" vertical="top"/>
    </xf>
    <xf numFmtId="3" fontId="1" fillId="0" borderId="2" xfId="1" applyNumberFormat="1" applyFont="1" applyBorder="1" applyAlignment="1">
      <alignment horizontal="right" vertical="top"/>
    </xf>
    <xf numFmtId="0" fontId="1" fillId="0" borderId="3" xfId="1" applyNumberFormat="1" applyFont="1" applyBorder="1" applyAlignment="1">
      <alignment horizontal="right" vertical="top"/>
    </xf>
    <xf numFmtId="0" fontId="1" fillId="0" borderId="4" xfId="1" applyNumberFormat="1" applyFont="1" applyBorder="1" applyAlignment="1">
      <alignment horizontal="right" vertical="top"/>
    </xf>
    <xf numFmtId="3" fontId="1" fillId="0" borderId="0" xfId="1" applyNumberFormat="1" applyFont="1" applyAlignment="1">
      <alignment horizontal="left" vertical="top"/>
    </xf>
    <xf numFmtId="3" fontId="1" fillId="0" borderId="4" xfId="1" applyNumberFormat="1" applyFont="1" applyBorder="1" applyAlignment="1">
      <alignment horizontal="right" vertical="top"/>
    </xf>
    <xf numFmtId="172" fontId="1" fillId="0" borderId="0" xfId="1" applyNumberFormat="1" applyFont="1" applyAlignment="1">
      <alignment horizontal="right" vertical="top"/>
    </xf>
    <xf numFmtId="172" fontId="1" fillId="0" borderId="3" xfId="1" applyNumberFormat="1" applyFont="1" applyBorder="1" applyAlignment="1">
      <alignment horizontal="right" vertical="top"/>
    </xf>
    <xf numFmtId="3" fontId="1" fillId="0" borderId="3" xfId="1" applyNumberFormat="1" applyFont="1" applyBorder="1" applyAlignment="1">
      <alignment horizontal="right" vertical="top"/>
    </xf>
    <xf numFmtId="3" fontId="1" fillId="0" borderId="6" xfId="1" applyNumberFormat="1" applyFont="1" applyBorder="1" applyAlignment="1">
      <alignment horizontal="right" vertical="top"/>
    </xf>
    <xf numFmtId="3" fontId="1" fillId="0" borderId="5" xfId="1" applyNumberFormat="1" applyFont="1" applyBorder="1" applyAlignment="1">
      <alignment horizontal="right" vertical="top"/>
    </xf>
    <xf numFmtId="0" fontId="1" fillId="0" borderId="6" xfId="1" applyNumberFormat="1" applyFont="1" applyBorder="1" applyAlignment="1">
      <alignment horizontal="right" vertical="top"/>
    </xf>
    <xf numFmtId="0" fontId="4" fillId="0" borderId="7" xfId="1" applyNumberFormat="1" applyFont="1" applyBorder="1" applyAlignment="1">
      <alignment horizontal="left" vertical="top"/>
    </xf>
    <xf numFmtId="0" fontId="4" fillId="0" borderId="8" xfId="1" applyNumberFormat="1" applyFont="1" applyBorder="1" applyAlignment="1">
      <alignment horizontal="right" vertical="top"/>
    </xf>
    <xf numFmtId="172" fontId="4" fillId="0" borderId="8" xfId="1" applyNumberFormat="1" applyFont="1" applyBorder="1" applyAlignment="1">
      <alignment horizontal="right" vertical="top"/>
    </xf>
    <xf numFmtId="172" fontId="4" fillId="0" borderId="2" xfId="1" applyNumberFormat="1" applyFont="1" applyBorder="1" applyAlignment="1">
      <alignment horizontal="right" vertical="top"/>
    </xf>
    <xf numFmtId="3" fontId="1" fillId="0" borderId="0" xfId="1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horizontal="right" vertical="top"/>
    </xf>
    <xf numFmtId="0" fontId="1" fillId="0" borderId="3" xfId="1" applyNumberFormat="1" applyBorder="1" applyAlignment="1">
      <alignment horizontal="right" vertical="top"/>
    </xf>
    <xf numFmtId="172" fontId="1" fillId="0" borderId="0" xfId="1" applyNumberFormat="1" applyFont="1" applyBorder="1" applyAlignment="1">
      <alignment horizontal="right" vertical="top"/>
    </xf>
    <xf numFmtId="0" fontId="4" fillId="0" borderId="3" xfId="1" applyNumberFormat="1" applyFont="1" applyBorder="1" applyAlignment="1">
      <alignment horizontal="right" vertical="top"/>
    </xf>
    <xf numFmtId="172" fontId="1" fillId="2" borderId="0" xfId="1" applyNumberFormat="1" applyFont="1" applyFill="1" applyBorder="1" applyAlignment="1">
      <alignment horizontal="left" vertical="top"/>
    </xf>
    <xf numFmtId="0" fontId="1" fillId="0" borderId="5" xfId="1" applyNumberFormat="1" applyFont="1" applyBorder="1" applyAlignment="1">
      <alignment horizontal="right" vertical="top"/>
    </xf>
    <xf numFmtId="3" fontId="1" fillId="0" borderId="9" xfId="1" applyNumberFormat="1" applyFont="1" applyBorder="1" applyAlignment="1">
      <alignment horizontal="right" vertical="top"/>
    </xf>
    <xf numFmtId="1" fontId="1" fillId="0" borderId="7" xfId="1" applyNumberFormat="1" applyFont="1" applyBorder="1" applyAlignment="1">
      <alignment horizontal="left" vertical="top"/>
    </xf>
    <xf numFmtId="0" fontId="1" fillId="0" borderId="8" xfId="1" applyNumberFormat="1" applyFont="1" applyBorder="1" applyAlignment="1">
      <alignment horizontal="left" vertical="top"/>
    </xf>
    <xf numFmtId="172" fontId="1" fillId="0" borderId="8" xfId="1" applyNumberFormat="1" applyFont="1" applyBorder="1" applyAlignment="1">
      <alignment horizontal="left" vertical="top"/>
    </xf>
    <xf numFmtId="172" fontId="1" fillId="0" borderId="2" xfId="1" applyNumberFormat="1" applyFont="1" applyBorder="1" applyAlignment="1">
      <alignment horizontal="center" vertical="top"/>
    </xf>
    <xf numFmtId="0" fontId="1" fillId="0" borderId="7" xfId="1" applyNumberFormat="1" applyBorder="1" applyAlignment="1">
      <alignment horizontal="left" vertical="top"/>
    </xf>
    <xf numFmtId="0" fontId="1" fillId="0" borderId="8" xfId="1" applyNumberFormat="1" applyBorder="1" applyAlignment="1">
      <alignment horizontal="center" vertical="top"/>
    </xf>
    <xf numFmtId="172" fontId="1" fillId="0" borderId="2" xfId="1" applyNumberFormat="1" applyBorder="1" applyAlignment="1">
      <alignment horizontal="center" vertical="top"/>
    </xf>
    <xf numFmtId="173" fontId="1" fillId="0" borderId="0" xfId="1" applyNumberFormat="1" applyFont="1" applyBorder="1" applyAlignment="1">
      <alignment horizontal="right" vertical="top"/>
    </xf>
    <xf numFmtId="1" fontId="1" fillId="0" borderId="4" xfId="1" applyNumberFormat="1" applyFont="1" applyBorder="1" applyAlignment="1">
      <alignment horizontal="left" vertical="top"/>
    </xf>
    <xf numFmtId="173" fontId="1" fillId="0" borderId="0" xfId="1" applyNumberFormat="1" applyFont="1" applyAlignment="1">
      <alignment horizontal="left" vertical="top"/>
    </xf>
    <xf numFmtId="0" fontId="1" fillId="0" borderId="3" xfId="1" applyNumberFormat="1" applyFont="1" applyBorder="1" applyAlignment="1">
      <alignment horizontal="left" vertical="top"/>
    </xf>
    <xf numFmtId="0" fontId="1" fillId="0" borderId="0" xfId="1" applyBorder="1" applyAlignment="1"/>
    <xf numFmtId="0" fontId="1" fillId="0" borderId="4" xfId="1" applyBorder="1" applyAlignment="1"/>
    <xf numFmtId="173" fontId="1" fillId="0" borderId="9" xfId="1" applyNumberFormat="1" applyFont="1" applyBorder="1" applyAlignment="1">
      <alignment horizontal="right" vertical="top"/>
    </xf>
    <xf numFmtId="172" fontId="1" fillId="2" borderId="9" xfId="1" applyNumberFormat="1" applyFont="1" applyFill="1" applyBorder="1" applyAlignment="1">
      <alignment horizontal="left" vertical="top"/>
    </xf>
    <xf numFmtId="1" fontId="1" fillId="0" borderId="6" xfId="1" applyNumberFormat="1" applyFont="1" applyBorder="1" applyAlignment="1">
      <alignment horizontal="left" vertical="top"/>
    </xf>
    <xf numFmtId="0" fontId="1" fillId="0" borderId="7" xfId="1" applyNumberFormat="1" applyFont="1" applyBorder="1" applyAlignment="1">
      <alignment horizontal="left" vertical="top"/>
    </xf>
    <xf numFmtId="0" fontId="1" fillId="0" borderId="8" xfId="1" applyNumberFormat="1" applyFont="1" applyBorder="1" applyAlignment="1">
      <alignment horizontal="center" vertical="top"/>
    </xf>
    <xf numFmtId="172" fontId="1" fillId="0" borderId="8" xfId="1" applyNumberFormat="1" applyFont="1" applyBorder="1" applyAlignment="1">
      <alignment horizontal="center" vertical="top"/>
    </xf>
    <xf numFmtId="172" fontId="1" fillId="0" borderId="4" xfId="1" applyNumberFormat="1" applyBorder="1" applyAlignment="1">
      <alignment vertical="top"/>
    </xf>
    <xf numFmtId="172" fontId="1" fillId="0" borderId="4" xfId="1" applyNumberFormat="1" applyFont="1" applyBorder="1" applyAlignment="1">
      <alignment horizontal="right" vertical="top"/>
    </xf>
    <xf numFmtId="0" fontId="1" fillId="0" borderId="0" xfId="1" applyNumberFormat="1" applyFont="1" applyBorder="1" applyAlignment="1">
      <alignment horizontal="left" vertical="top"/>
    </xf>
    <xf numFmtId="172" fontId="1" fillId="0" borderId="4" xfId="1" applyNumberFormat="1" applyFont="1" applyBorder="1" applyAlignment="1">
      <alignment horizontal="left" vertical="top"/>
    </xf>
    <xf numFmtId="0" fontId="1" fillId="0" borderId="0" xfId="1" applyNumberFormat="1" applyFont="1" applyBorder="1" applyAlignment="1">
      <alignment vertical="top"/>
    </xf>
    <xf numFmtId="173" fontId="1" fillId="0" borderId="4" xfId="1" applyNumberFormat="1" applyFont="1" applyBorder="1" applyAlignment="1">
      <alignment vertical="top"/>
    </xf>
    <xf numFmtId="172" fontId="1" fillId="0" borderId="9" xfId="1" applyNumberFormat="1" applyFont="1" applyBorder="1" applyAlignment="1">
      <alignment horizontal="right" vertical="top"/>
    </xf>
    <xf numFmtId="0" fontId="1" fillId="0" borderId="5" xfId="1" applyNumberFormat="1" applyBorder="1" applyAlignment="1">
      <alignment horizontal="right" vertical="top"/>
    </xf>
    <xf numFmtId="1" fontId="1" fillId="0" borderId="9" xfId="1" applyNumberFormat="1" applyFont="1" applyBorder="1" applyAlignment="1">
      <alignment vertical="top"/>
    </xf>
    <xf numFmtId="173" fontId="1" fillId="0" borderId="6" xfId="1" applyNumberFormat="1" applyFont="1" applyBorder="1" applyAlignment="1">
      <alignment vertical="top"/>
    </xf>
    <xf numFmtId="0" fontId="1" fillId="0" borderId="0" xfId="2"/>
    <xf numFmtId="0" fontId="8" fillId="0" borderId="0" xfId="2" applyFont="1"/>
    <xf numFmtId="0" fontId="9" fillId="0" borderId="10" xfId="2" applyFont="1" applyBorder="1" applyAlignment="1">
      <alignment horizontal="center" wrapText="1"/>
    </xf>
    <xf numFmtId="0" fontId="9" fillId="0" borderId="0" xfId="2" applyFont="1" applyBorder="1" applyAlignment="1">
      <alignment horizontal="center" wrapText="1"/>
    </xf>
    <xf numFmtId="0" fontId="1" fillId="0" borderId="0" xfId="2" applyBorder="1" applyAlignment="1">
      <alignment wrapText="1"/>
    </xf>
    <xf numFmtId="173" fontId="1" fillId="0" borderId="0" xfId="2" applyNumberFormat="1"/>
    <xf numFmtId="0" fontId="1" fillId="0" borderId="11" xfId="2" applyBorder="1"/>
    <xf numFmtId="0" fontId="1" fillId="0" borderId="0" xfId="2" applyBorder="1"/>
    <xf numFmtId="173" fontId="1" fillId="0" borderId="0" xfId="2" applyNumberFormat="1" applyFont="1"/>
    <xf numFmtId="3" fontId="10" fillId="0" borderId="4" xfId="1" applyNumberFormat="1" applyFont="1" applyBorder="1" applyAlignment="1">
      <alignment horizontal="right" vertical="top"/>
    </xf>
    <xf numFmtId="0" fontId="10" fillId="0" borderId="3" xfId="1" applyNumberFormat="1" applyFont="1" applyBorder="1" applyAlignment="1">
      <alignment horizontal="right" vertical="top"/>
    </xf>
    <xf numFmtId="0" fontId="10" fillId="0" borderId="1" xfId="1" applyNumberFormat="1" applyFont="1" applyBorder="1" applyAlignment="1">
      <alignment horizontal="right" vertical="top"/>
    </xf>
    <xf numFmtId="172" fontId="10" fillId="0" borderId="0" xfId="1" applyNumberFormat="1" applyFont="1" applyAlignment="1">
      <alignment horizontal="left" vertical="top"/>
    </xf>
    <xf numFmtId="172" fontId="10" fillId="0" borderId="5" xfId="1" applyNumberFormat="1" applyFont="1" applyBorder="1" applyAlignment="1">
      <alignment horizontal="right" vertical="top"/>
    </xf>
    <xf numFmtId="0" fontId="10" fillId="0" borderId="0" xfId="2" applyFont="1"/>
  </cellXfs>
  <cellStyles count="3">
    <cellStyle name="Normal" xfId="0" builtinId="0"/>
    <cellStyle name="Normal_G-BKMT - W&amp;B and takeoff&amp;landing calculator-master" xfId="1"/>
    <cellStyle name="Normal_G-BKMT W&amp;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 of G Envelope</a:t>
            </a:r>
          </a:p>
        </c:rich>
      </c:tx>
      <c:layout>
        <c:manualLayout>
          <c:xMode val="edge"/>
          <c:yMode val="edge"/>
          <c:x val="0.39819048513336608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1713043788078"/>
          <c:y val="9.8401484861121338E-2"/>
          <c:w val="0.76847709647153839"/>
          <c:h val="0.76151789437535267"/>
        </c:manualLayout>
      </c:layout>
      <c:scatterChart>
        <c:scatterStyle val="lineMarker"/>
        <c:varyColors val="0"/>
        <c:ser>
          <c:idx val="0"/>
          <c:order val="0"/>
          <c:tx>
            <c:v>C of G envelope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x"/>
            <c:size val="3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'Weight &amp; Balance '!$J$23:$J$27</c:f>
              <c:numCache>
                <c:formatCode>General</c:formatCode>
                <c:ptCount val="5"/>
                <c:pt idx="0">
                  <c:v>85.5</c:v>
                </c:pt>
                <c:pt idx="1">
                  <c:v>85.5</c:v>
                </c:pt>
                <c:pt idx="2">
                  <c:v>90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'Weight &amp; Balance '!$I$23:$I$27</c:f>
              <c:numCache>
                <c:formatCode>General</c:formatCode>
                <c:ptCount val="5"/>
                <c:pt idx="0">
                  <c:v>1400</c:v>
                </c:pt>
                <c:pt idx="1">
                  <c:v>2400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0-4885-AC72-4C5EEE32DD46}"/>
            </c:ext>
          </c:extLst>
        </c:ser>
        <c:ser>
          <c:idx val="1"/>
          <c:order val="1"/>
          <c:tx>
            <c:v>T/O &amp; Landing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'Weight &amp; Balance '!$J$29:$J$30</c:f>
              <c:numCache>
                <c:formatCode>0.0</c:formatCode>
                <c:ptCount val="2"/>
                <c:pt idx="0">
                  <c:v>88.601342134213425</c:v>
                </c:pt>
                <c:pt idx="1">
                  <c:v>88.168451961475228</c:v>
                </c:pt>
              </c:numCache>
            </c:numRef>
          </c:xVal>
          <c:yVal>
            <c:numRef>
              <c:f>'Weight &amp; Balance '!$I$29:$I$30</c:f>
              <c:numCache>
                <c:formatCode>0</c:formatCode>
                <c:ptCount val="2"/>
                <c:pt idx="0" formatCode="General">
                  <c:v>2272.5</c:v>
                </c:pt>
                <c:pt idx="1">
                  <c:v>2128.5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0-4885-AC72-4C5EEE32D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311768"/>
        <c:axId val="1"/>
      </c:scatterChart>
      <c:valAx>
        <c:axId val="618311768"/>
        <c:scaling>
          <c:orientation val="minMax"/>
          <c:min val="7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Arm</a:t>
                </a:r>
              </a:p>
            </c:rich>
          </c:tx>
          <c:layout>
            <c:manualLayout>
              <c:xMode val="edge"/>
              <c:yMode val="edge"/>
              <c:x val="0.38235336356556177"/>
              <c:y val="0.89859278525636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70"/>
        <c:crossBetween val="midCat"/>
        <c:majorUnit val="5"/>
        <c:minorUnit val="2.5"/>
      </c:val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rgbClr val="000000">
                  <a:alpha val="3000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Weight</a:t>
                </a:r>
              </a:p>
            </c:rich>
          </c:tx>
          <c:layout>
            <c:manualLayout>
              <c:xMode val="edge"/>
              <c:yMode val="edge"/>
              <c:x val="3.6199135012124191E-2"/>
              <c:y val="0.43662031885497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311768"/>
        <c:crossesAt val="0"/>
        <c:crossBetween val="midCat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321338226386863"/>
          <c:y val="0.91847297530922412"/>
          <c:w val="0.49472120283607091"/>
          <c:h val="7.39311927326449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Weight &amp; Balance</a:t>
            </a:r>
          </a:p>
        </c:rich>
      </c:tx>
      <c:layout>
        <c:manualLayout>
          <c:xMode val="edge"/>
          <c:yMode val="edge"/>
          <c:x val="0.38747099767981441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5150812064965"/>
          <c:y val="0.14705917552077474"/>
          <c:w val="0.59164733178654294"/>
          <c:h val="0.72304094631047577"/>
        </c:manualLayout>
      </c:layout>
      <c:scatterChart>
        <c:scatterStyle val="lineMarker"/>
        <c:varyColors val="0"/>
        <c:ser>
          <c:idx val="0"/>
          <c:order val="0"/>
          <c:tx>
            <c:v>PA32 Limits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'W&amp;B calculator 2'!$C$32:$C$36</c:f>
              <c:numCache>
                <c:formatCode>General</c:formatCode>
                <c:ptCount val="5"/>
                <c:pt idx="0">
                  <c:v>85.5</c:v>
                </c:pt>
                <c:pt idx="1">
                  <c:v>85.5</c:v>
                </c:pt>
                <c:pt idx="2">
                  <c:v>90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'W&amp;B calculator 2'!$B$32:$B$36</c:f>
              <c:numCache>
                <c:formatCode>General</c:formatCode>
                <c:ptCount val="5"/>
                <c:pt idx="0">
                  <c:v>1400</c:v>
                </c:pt>
                <c:pt idx="1">
                  <c:v>2400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4-4521-AB12-85F948CB8798}"/>
            </c:ext>
          </c:extLst>
        </c:ser>
        <c:ser>
          <c:idx val="1"/>
          <c:order val="1"/>
          <c:tx>
            <c:v>Trip 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('W&amp;B calculator 2'!$I$16,'W&amp;B calculator 2'!$I$21)</c:f>
              <c:numCache>
                <c:formatCode>General</c:formatCode>
                <c:ptCount val="2"/>
                <c:pt idx="0">
                  <c:v>89.629130191842052</c:v>
                </c:pt>
                <c:pt idx="1">
                  <c:v>89.381381617791774</c:v>
                </c:pt>
              </c:numCache>
            </c:numRef>
          </c:xVal>
          <c:yVal>
            <c:numRef>
              <c:f>('W&amp;B calculator 2'!$G$16,'W&amp;B calculator 2'!$G$21)</c:f>
              <c:numCache>
                <c:formatCode>0.0</c:formatCode>
                <c:ptCount val="2"/>
                <c:pt idx="0">
                  <c:v>2684.5</c:v>
                </c:pt>
                <c:pt idx="1">
                  <c:v>2540.5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4-4521-AB12-85F948CB8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304552"/>
        <c:axId val="1"/>
      </c:scatterChart>
      <c:valAx>
        <c:axId val="618304552"/>
        <c:scaling>
          <c:orientation val="minMax"/>
          <c:max val="100"/>
          <c:min val="80"/>
        </c:scaling>
        <c:delete val="0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Arm Aft Datum - (inches)</a:t>
                </a:r>
              </a:p>
            </c:rich>
          </c:tx>
          <c:layout>
            <c:manualLayout>
              <c:xMode val="edge"/>
              <c:yMode val="edge"/>
              <c:x val="0.28538283062645009"/>
              <c:y val="0.92402181952220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Weight (lbs)</a:t>
                </a:r>
              </a:p>
            </c:rich>
          </c:tx>
          <c:layout>
            <c:manualLayout>
              <c:xMode val="edge"/>
              <c:yMode val="edge"/>
              <c:x val="3.7122969837587005E-2"/>
              <c:y val="0.42892259526892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304552"/>
        <c:crosses val="autoZero"/>
        <c:crossBetween val="midCat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58236658932711"/>
          <c:y val="0.47304034792515876"/>
          <c:w val="0.20185614849187936"/>
          <c:h val="7.10786015017077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N2943D PA28RT-201 Weight &amp; Balance</a:t>
            </a:r>
          </a:p>
        </c:rich>
      </c:tx>
      <c:layout>
        <c:manualLayout>
          <c:xMode val="edge"/>
          <c:yMode val="edge"/>
          <c:x val="0.35129533678756475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0829015544041"/>
          <c:y val="0.15136054421768708"/>
          <c:w val="0.70362694300518136"/>
          <c:h val="0.70068027210884354"/>
        </c:manualLayout>
      </c:layout>
      <c:scatterChart>
        <c:scatterStyle val="lineMarker"/>
        <c:varyColors val="0"/>
        <c:ser>
          <c:idx val="0"/>
          <c:order val="0"/>
          <c:tx>
            <c:v>PA28RT-201 Limits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'W&amp;B calculator 2'!$C$32:$C$36</c:f>
              <c:numCache>
                <c:formatCode>General</c:formatCode>
                <c:ptCount val="5"/>
                <c:pt idx="0">
                  <c:v>85.5</c:v>
                </c:pt>
                <c:pt idx="1">
                  <c:v>85.5</c:v>
                </c:pt>
                <c:pt idx="2">
                  <c:v>90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'W&amp;B calculator 2'!$B$32:$B$36</c:f>
              <c:numCache>
                <c:formatCode>General</c:formatCode>
                <c:ptCount val="5"/>
                <c:pt idx="0">
                  <c:v>1400</c:v>
                </c:pt>
                <c:pt idx="1">
                  <c:v>2400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87-4435-873D-11B666EA533F}"/>
            </c:ext>
          </c:extLst>
        </c:ser>
        <c:ser>
          <c:idx val="1"/>
          <c:order val="1"/>
          <c:tx>
            <c:v>Trip - T/O &amp; Landing 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('W&amp;B calculator 2'!$I$16,'W&amp;B calculator 2'!$I$21)</c:f>
              <c:numCache>
                <c:formatCode>General</c:formatCode>
                <c:ptCount val="2"/>
                <c:pt idx="0">
                  <c:v>89.629130191842052</c:v>
                </c:pt>
                <c:pt idx="1">
                  <c:v>89.381381617791774</c:v>
                </c:pt>
              </c:numCache>
            </c:numRef>
          </c:xVal>
          <c:yVal>
            <c:numRef>
              <c:f>('W&amp;B calculator 2'!$G$16,'W&amp;B calculator 2'!$G$21)</c:f>
              <c:numCache>
                <c:formatCode>0.0</c:formatCode>
                <c:ptCount val="2"/>
                <c:pt idx="0">
                  <c:v>2684.5</c:v>
                </c:pt>
                <c:pt idx="1">
                  <c:v>2540.5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87-4435-873D-11B666EA5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312752"/>
        <c:axId val="1"/>
      </c:scatterChart>
      <c:valAx>
        <c:axId val="618312752"/>
        <c:scaling>
          <c:orientation val="minMax"/>
          <c:max val="100"/>
          <c:min val="80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Arm Aft Datum - (inches)</a:t>
                </a:r>
              </a:p>
            </c:rich>
          </c:tx>
          <c:layout>
            <c:manualLayout>
              <c:xMode val="edge"/>
              <c:yMode val="edge"/>
              <c:x val="0.34196891191709844"/>
              <c:y val="0.9268707482993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  <c:max val="3000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Weight (lbs)</a:t>
                </a:r>
              </a:p>
            </c:rich>
          </c:tx>
          <c:layout>
            <c:manualLayout>
              <c:xMode val="edge"/>
              <c:yMode val="edge"/>
              <c:x val="1.1398963730569948E-2"/>
              <c:y val="0.40476190476190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312752"/>
        <c:crosses val="autoZero"/>
        <c:crossBetween val="midCat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52331606217612"/>
          <c:y val="0.45578231292517007"/>
          <c:w val="0.15233160621761657"/>
          <c:h val="0.22761283229861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66675</xdr:rowOff>
    </xdr:from>
    <xdr:to>
      <xdr:col>13</xdr:col>
      <xdr:colOff>66675</xdr:colOff>
      <xdr:row>20</xdr:row>
      <xdr:rowOff>161925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439AF44-8930-4A86-82F7-3C340F916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4</xdr:row>
      <xdr:rowOff>66675</xdr:rowOff>
    </xdr:from>
    <xdr:to>
      <xdr:col>18</xdr:col>
      <xdr:colOff>552450</xdr:colOff>
      <xdr:row>23</xdr:row>
      <xdr:rowOff>95250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127F1ABC-1D94-46CD-A1FA-8D238AF03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4541" cy="55886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B26780-288B-47DD-A496-9D6EB6A538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craft%20purchase/PA%2032%20Saratoga%20-%20G-BKMT/G-BKMT%20-%20W&amp;B%20and%20takeoff&amp;landing%20calculator-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BKMT Weight &amp; Balance "/>
      <sheetName val="W&amp;B calculator 2"/>
      <sheetName val="W&amp;B Chart"/>
      <sheetName val="Pre-flight Calculations"/>
      <sheetName val="TO2500lbs"/>
      <sheetName val="TO2900lbs"/>
      <sheetName val="LND2900lbs"/>
      <sheetName val="Notes"/>
    </sheetNames>
    <sheetDataSet>
      <sheetData sheetId="0"/>
      <sheetData sheetId="1"/>
      <sheetData sheetId="2" refreshError="1"/>
      <sheetData sheetId="3">
        <row r="7">
          <cell r="C7">
            <v>30</v>
          </cell>
          <cell r="I7">
            <v>4</v>
          </cell>
        </row>
        <row r="8">
          <cell r="C8">
            <v>310</v>
          </cell>
          <cell r="I8">
            <v>240</v>
          </cell>
        </row>
        <row r="9">
          <cell r="C9">
            <v>280</v>
          </cell>
          <cell r="I9">
            <v>280</v>
          </cell>
        </row>
        <row r="10">
          <cell r="C10">
            <v>25.98076211353316</v>
          </cell>
          <cell r="I10">
            <v>3.0641777724759121</v>
          </cell>
        </row>
        <row r="12">
          <cell r="C12">
            <v>2900</v>
          </cell>
        </row>
        <row r="13">
          <cell r="C13">
            <v>20</v>
          </cell>
          <cell r="I13">
            <v>20</v>
          </cell>
        </row>
        <row r="14">
          <cell r="C14" t="str">
            <v>SL</v>
          </cell>
          <cell r="I14" t="str">
            <v>SL</v>
          </cell>
        </row>
        <row r="37">
          <cell r="AC37">
            <v>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IV64"/>
  <sheetViews>
    <sheetView tabSelected="1" workbookViewId="0">
      <pane activePane="bottomRight" state="frozen"/>
      <selection activeCell="C3" sqref="C3"/>
    </sheetView>
  </sheetViews>
  <sheetFormatPr defaultColWidth="8" defaultRowHeight="12.75" x14ac:dyDescent="0.2"/>
  <cols>
    <col min="1" max="1" width="2.7109375" style="4" customWidth="1"/>
    <col min="2" max="2" width="16.7109375" style="4" customWidth="1"/>
    <col min="3" max="3" width="7.42578125" style="4" customWidth="1"/>
    <col min="4" max="4" width="8.42578125" style="4" customWidth="1"/>
    <col min="5" max="5" width="14.140625" style="4" customWidth="1"/>
    <col min="6" max="6" width="6.42578125" style="4" customWidth="1"/>
    <col min="7" max="7" width="11.85546875" style="4" customWidth="1"/>
    <col min="8" max="8" width="14.140625" style="4" customWidth="1"/>
    <col min="9" max="16384" width="8" style="4"/>
  </cols>
  <sheetData>
    <row r="1" spans="2:256" ht="12.95" customHeight="1" x14ac:dyDescent="0.2">
      <c r="B1" s="1" t="s">
        <v>50</v>
      </c>
      <c r="C1" s="2"/>
      <c r="D1" s="3"/>
      <c r="E1" s="3"/>
      <c r="F1" s="2"/>
      <c r="G1" s="2"/>
    </row>
    <row r="2" spans="2:256" ht="13.5" thickBot="1" x14ac:dyDescent="0.25"/>
    <row r="3" spans="2:256" ht="12.95" customHeight="1" x14ac:dyDescent="0.2">
      <c r="B3" s="70" t="s">
        <v>0</v>
      </c>
      <c r="C3" s="6">
        <v>40</v>
      </c>
      <c r="D3" s="71" t="s">
        <v>48</v>
      </c>
      <c r="E3" s="5" t="s">
        <v>1</v>
      </c>
      <c r="F3" s="7">
        <v>2750</v>
      </c>
    </row>
    <row r="4" spans="2:256" ht="12.95" customHeight="1" x14ac:dyDescent="0.2">
      <c r="B4" s="8" t="s">
        <v>2</v>
      </c>
      <c r="C4" s="9">
        <v>120</v>
      </c>
      <c r="D4" s="10" t="str">
        <f>"Max "&amp;FIXED((((C3-2)/C5)-(C7/60))*60,0)</f>
        <v>Max 130</v>
      </c>
      <c r="E4" s="8" t="s">
        <v>3</v>
      </c>
      <c r="F4" s="11">
        <v>2738</v>
      </c>
    </row>
    <row r="5" spans="2:256" ht="12.95" customHeight="1" x14ac:dyDescent="0.2">
      <c r="B5" s="8" t="s">
        <v>4</v>
      </c>
      <c r="C5" s="9">
        <v>12</v>
      </c>
      <c r="D5" s="12"/>
      <c r="E5" s="13" t="s">
        <v>5</v>
      </c>
      <c r="F5" s="9" t="str">
        <f>FIXED(INT((C3-2)/C5),0)&amp;":"&amp;FIXED((((C3-2)/C5)-INT((C3-2)/C5))*60,0)</f>
        <v>3:10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2:256" ht="12.95" customHeight="1" thickBot="1" x14ac:dyDescent="0.25">
      <c r="B6" s="14" t="s">
        <v>6</v>
      </c>
      <c r="C6" s="9">
        <v>120</v>
      </c>
      <c r="E6" s="72" t="s">
        <v>49</v>
      </c>
      <c r="F6" s="15">
        <f>(((C3-2)/C5)-(C7/60))*C6</f>
        <v>260</v>
      </c>
    </row>
    <row r="7" spans="2:256" ht="12.95" customHeight="1" thickBot="1" x14ac:dyDescent="0.25">
      <c r="B7" s="16" t="s">
        <v>7</v>
      </c>
      <c r="C7" s="17">
        <v>60</v>
      </c>
      <c r="E7" s="12"/>
    </row>
    <row r="8" spans="2:256" ht="12.95" customHeight="1" thickBot="1" x14ac:dyDescent="0.25">
      <c r="B8" s="2"/>
      <c r="C8" s="2"/>
    </row>
    <row r="9" spans="2:256" ht="12.95" customHeight="1" thickBot="1" x14ac:dyDescent="0.25">
      <c r="B9" s="18" t="s">
        <v>8</v>
      </c>
      <c r="C9" s="19" t="s">
        <v>9</v>
      </c>
      <c r="D9" s="20" t="s">
        <v>10</v>
      </c>
      <c r="E9" s="21" t="s">
        <v>11</v>
      </c>
      <c r="F9" s="2"/>
      <c r="G9" s="2"/>
    </row>
    <row r="10" spans="2:256" ht="12.95" customHeight="1" x14ac:dyDescent="0.2">
      <c r="B10" s="8" t="s">
        <v>12</v>
      </c>
      <c r="C10" s="22">
        <v>1804.5</v>
      </c>
      <c r="D10" s="22">
        <v>87.9</v>
      </c>
      <c r="E10" s="68">
        <f>D10*C10/100</f>
        <v>1586.1555000000001</v>
      </c>
      <c r="F10" s="2"/>
      <c r="G10" s="2"/>
    </row>
    <row r="11" spans="2:256" ht="12.95" customHeight="1" x14ac:dyDescent="0.2">
      <c r="B11" s="8" t="s">
        <v>13</v>
      </c>
      <c r="C11" s="22">
        <v>200</v>
      </c>
      <c r="D11" s="22">
        <v>80.5</v>
      </c>
      <c r="E11" s="11">
        <f>D11*C11/100</f>
        <v>161</v>
      </c>
      <c r="F11" s="2"/>
      <c r="G11" s="2"/>
      <c r="H11" s="2"/>
      <c r="I11" s="2"/>
      <c r="J11" s="2"/>
      <c r="K11" s="2"/>
      <c r="L11" s="2"/>
      <c r="M11" s="2"/>
      <c r="N11" s="2"/>
    </row>
    <row r="12" spans="2:256" ht="12.95" customHeight="1" x14ac:dyDescent="0.2">
      <c r="B12" s="8" t="s">
        <v>14</v>
      </c>
      <c r="C12" s="23">
        <v>30</v>
      </c>
      <c r="D12" s="22">
        <v>118.1</v>
      </c>
      <c r="E12" s="11">
        <f>D12*C12/100</f>
        <v>35.43</v>
      </c>
      <c r="F12" s="2"/>
      <c r="G12" s="2"/>
      <c r="H12" s="2"/>
      <c r="I12" s="2"/>
      <c r="J12" s="2"/>
      <c r="K12" s="2"/>
      <c r="L12" s="2"/>
      <c r="M12" s="2"/>
      <c r="N12" s="2"/>
    </row>
    <row r="13" spans="2:256" ht="12.95" customHeight="1" x14ac:dyDescent="0.2">
      <c r="B13" s="69" t="s">
        <v>15</v>
      </c>
      <c r="C13" s="22">
        <v>10</v>
      </c>
      <c r="D13" s="22">
        <v>142.80000000000001</v>
      </c>
      <c r="E13" s="11">
        <f>D13*C13/100</f>
        <v>14.28</v>
      </c>
      <c r="F13" s="2"/>
      <c r="G13" s="2"/>
      <c r="H13" s="2"/>
      <c r="I13" s="2"/>
      <c r="J13" s="2"/>
      <c r="K13" s="2"/>
      <c r="L13" s="2"/>
      <c r="M13" s="2"/>
      <c r="N13" s="2"/>
    </row>
    <row r="14" spans="2:256" ht="12.95" customHeight="1" x14ac:dyDescent="0.2">
      <c r="B14" s="8" t="s">
        <v>16</v>
      </c>
      <c r="C14" s="22">
        <f>SUM(C10:C13)</f>
        <v>2044.5</v>
      </c>
      <c r="D14" s="25"/>
      <c r="E14" s="11">
        <f>SUM(E10:E13)</f>
        <v>1796.8655000000001</v>
      </c>
    </row>
    <row r="15" spans="2:256" ht="12.95" customHeight="1" x14ac:dyDescent="0.2">
      <c r="B15" s="8" t="s">
        <v>17</v>
      </c>
      <c r="C15" s="22">
        <f xml:space="preserve"> C3*6</f>
        <v>240</v>
      </c>
      <c r="D15" s="22">
        <v>95</v>
      </c>
      <c r="E15" s="11">
        <f>D15*C15/100</f>
        <v>228</v>
      </c>
      <c r="F15" s="2"/>
      <c r="G15" s="2"/>
      <c r="H15" s="2"/>
      <c r="I15" s="2"/>
      <c r="J15" s="2"/>
      <c r="K15" s="2"/>
      <c r="L15" s="2"/>
      <c r="M15" s="2"/>
      <c r="N15" s="2"/>
    </row>
    <row r="16" spans="2:256" ht="12.95" customHeight="1" x14ac:dyDescent="0.2">
      <c r="B16" s="26" t="s">
        <v>18</v>
      </c>
      <c r="C16" s="22">
        <f>SUM(C14:C15)</f>
        <v>2284.5</v>
      </c>
      <c r="D16" s="27" t="str">
        <f>IF(C16&gt;F3,"Over","OK")</f>
        <v>OK</v>
      </c>
      <c r="E16" s="11">
        <f>SUM(E14:E15)</f>
        <v>2024.8655000000001</v>
      </c>
      <c r="F16" s="2"/>
      <c r="G16" s="2"/>
      <c r="H16" s="2"/>
      <c r="I16" s="2"/>
      <c r="J16" s="2"/>
      <c r="K16" s="2"/>
      <c r="L16" s="2"/>
      <c r="M16" s="2"/>
      <c r="N16" s="2"/>
    </row>
    <row r="17" spans="2:256" ht="12.95" customHeight="1" x14ac:dyDescent="0.2">
      <c r="B17" s="8" t="s">
        <v>19</v>
      </c>
      <c r="C17" s="23">
        <v>-12</v>
      </c>
      <c r="D17" s="22">
        <v>95</v>
      </c>
      <c r="E17" s="11">
        <f>C17*D17/100</f>
        <v>-11.4</v>
      </c>
      <c r="F17" s="2"/>
    </row>
    <row r="18" spans="2:256" ht="12.95" customHeight="1" x14ac:dyDescent="0.2">
      <c r="B18" s="26" t="s">
        <v>20</v>
      </c>
      <c r="C18" s="23">
        <f>C16+C17</f>
        <v>2272.5</v>
      </c>
      <c r="D18" s="27" t="str">
        <f>IF(C18&gt;F4,"Over","OK")</f>
        <v>OK</v>
      </c>
      <c r="E18" s="11">
        <f>E16+E17</f>
        <v>2013.4655</v>
      </c>
      <c r="F18" s="2"/>
    </row>
    <row r="19" spans="2:256" ht="12.95" customHeight="1" x14ac:dyDescent="0.2">
      <c r="B19" s="13" t="s">
        <v>21</v>
      </c>
      <c r="C19" s="22">
        <f>(C4*C5/-10)</f>
        <v>-144</v>
      </c>
      <c r="D19" s="22">
        <v>95</v>
      </c>
      <c r="E19" s="11">
        <f>C19*D19/100</f>
        <v>-136.80000000000001</v>
      </c>
      <c r="F19" s="2"/>
      <c r="G19" s="2"/>
      <c r="H19" s="2"/>
      <c r="I19" s="2"/>
      <c r="J19" s="2"/>
      <c r="K19" s="2"/>
      <c r="L19" s="2"/>
      <c r="M19" s="2"/>
      <c r="N19" s="2"/>
    </row>
    <row r="20" spans="2:256" ht="12.95" customHeight="1" thickBot="1" x14ac:dyDescent="0.25">
      <c r="B20" s="28" t="s">
        <v>22</v>
      </c>
      <c r="C20" s="29">
        <f>C18+C19</f>
        <v>2128.5</v>
      </c>
      <c r="D20" s="29"/>
      <c r="E20" s="15">
        <f>E18+E19</f>
        <v>1876.6655000000001</v>
      </c>
      <c r="F20" s="2"/>
    </row>
    <row r="21" spans="2:256" ht="13.5" thickBot="1" x14ac:dyDescent="0.25"/>
    <row r="22" spans="2:256" ht="12.95" customHeight="1" thickBot="1" x14ac:dyDescent="0.25">
      <c r="B22" s="30" t="s">
        <v>23</v>
      </c>
      <c r="C22" s="31"/>
      <c r="D22" s="32"/>
      <c r="E22" s="33" t="s">
        <v>24</v>
      </c>
      <c r="F22" s="2"/>
      <c r="G22" s="2"/>
      <c r="H22" s="34" t="s">
        <v>25</v>
      </c>
      <c r="I22" s="35" t="s">
        <v>9</v>
      </c>
      <c r="J22" s="36" t="s">
        <v>10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2:256" ht="12.95" customHeight="1" x14ac:dyDescent="0.2">
      <c r="B23" s="8" t="str">
        <f>"Take-off ("&amp;FIXED(C18,0)&amp;"):"</f>
        <v>Take-off (2,273):</v>
      </c>
      <c r="C23" s="37">
        <f>E18/C18*100</f>
        <v>88.601342134213425</v>
      </c>
      <c r="D23" s="27" t="str">
        <f>IF(OR(C23&lt;D29,C23&gt;E29),"Over","OK")</f>
        <v>OK</v>
      </c>
      <c r="E23" s="38" t="str">
        <f>FIXED(D29,1)&amp;" =&gt; "&amp;FIXED(E29,1)</f>
        <v>74.0 =&gt; 93.0</v>
      </c>
      <c r="F23" s="39"/>
      <c r="G23" s="2"/>
      <c r="H23" s="40"/>
      <c r="I23" s="41">
        <v>1400</v>
      </c>
      <c r="J23" s="42">
        <v>85.5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2:256" ht="12.95" customHeight="1" thickBot="1" x14ac:dyDescent="0.25">
      <c r="B24" s="28" t="str">
        <f>"Landing ("&amp;FIXED(C20,0)&amp;"):"</f>
        <v>Landing (2,129):</v>
      </c>
      <c r="C24" s="43">
        <f>E20/C20*100</f>
        <v>88.168451961475228</v>
      </c>
      <c r="D24" s="44" t="str">
        <f>IF(OR(C24&lt;D30,C24&gt;E30),"Over","OK")</f>
        <v>OK</v>
      </c>
      <c r="E24" s="45" t="str">
        <f>FIXED(D30,1)&amp;" =&gt; "&amp;FIXED(E30,1)</f>
        <v>74.0 =&gt; 93.0</v>
      </c>
      <c r="F24" s="39"/>
      <c r="G24" s="2"/>
      <c r="H24" s="40"/>
      <c r="I24" s="41">
        <v>2400</v>
      </c>
      <c r="J24" s="42">
        <v>85.5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2:256" ht="12.95" customHeight="1" thickBot="1" x14ac:dyDescent="0.25">
      <c r="B25" s="46" t="s">
        <v>26</v>
      </c>
      <c r="C25" s="47" t="s">
        <v>9</v>
      </c>
      <c r="D25" s="48" t="s">
        <v>27</v>
      </c>
      <c r="E25" s="33" t="s">
        <v>28</v>
      </c>
      <c r="F25" s="2"/>
      <c r="G25" s="2"/>
      <c r="H25" s="40"/>
      <c r="I25" s="41">
        <v>2750</v>
      </c>
      <c r="J25" s="42">
        <v>90</v>
      </c>
      <c r="K25" s="2"/>
      <c r="L25" s="2"/>
      <c r="M25" s="2"/>
      <c r="N25" s="2"/>
    </row>
    <row r="26" spans="2:256" ht="12.95" customHeight="1" x14ac:dyDescent="0.2">
      <c r="B26" s="40"/>
      <c r="C26" s="23">
        <v>2750</v>
      </c>
      <c r="D26" s="25">
        <v>80.400000000000006</v>
      </c>
      <c r="E26" s="49">
        <v>93</v>
      </c>
      <c r="F26" s="2"/>
      <c r="G26" s="2"/>
      <c r="H26" s="40"/>
      <c r="I26" s="41">
        <v>2750</v>
      </c>
      <c r="J26" s="42">
        <v>93</v>
      </c>
      <c r="K26" s="2"/>
      <c r="L26" s="2"/>
      <c r="M26" s="2"/>
      <c r="N26" s="2"/>
    </row>
    <row r="27" spans="2:256" ht="12.95" customHeight="1" x14ac:dyDescent="0.2">
      <c r="B27" s="40"/>
      <c r="C27" s="23">
        <v>2300</v>
      </c>
      <c r="D27" s="25">
        <v>74</v>
      </c>
      <c r="E27" s="50">
        <v>93</v>
      </c>
      <c r="F27" s="2"/>
      <c r="G27" s="2"/>
      <c r="H27" s="40"/>
      <c r="I27" s="41">
        <v>1400</v>
      </c>
      <c r="J27" s="42">
        <v>93</v>
      </c>
      <c r="K27" s="2"/>
      <c r="L27" s="2"/>
      <c r="M27" s="2"/>
      <c r="N27" s="2"/>
    </row>
    <row r="28" spans="2:256" ht="12.95" customHeight="1" x14ac:dyDescent="0.2">
      <c r="B28" s="40"/>
      <c r="C28" s="23">
        <v>2000</v>
      </c>
      <c r="D28" s="25">
        <v>74</v>
      </c>
      <c r="E28" s="50">
        <v>93</v>
      </c>
      <c r="F28" s="2"/>
      <c r="G28" s="2"/>
      <c r="H28" s="40"/>
      <c r="I28" s="51"/>
      <c r="J28" s="52"/>
      <c r="K28" s="2"/>
      <c r="L28" s="2"/>
      <c r="M28" s="2"/>
    </row>
    <row r="29" spans="2:256" ht="12.95" customHeight="1" x14ac:dyDescent="0.2">
      <c r="B29" s="8" t="s">
        <v>29</v>
      </c>
      <c r="C29" s="22">
        <f>C18</f>
        <v>2272.5</v>
      </c>
      <c r="D29" s="25">
        <f>IF($C$29&lt;$C$27,$D$28,($D$27+($C$29-$C$27)*($D$26-$D$27)/($C$26-$C$27)))</f>
        <v>74</v>
      </c>
      <c r="E29" s="50">
        <v>93</v>
      </c>
      <c r="F29" s="2"/>
      <c r="G29" s="2"/>
      <c r="H29" s="24" t="s">
        <v>30</v>
      </c>
      <c r="I29" s="53">
        <f>C18</f>
        <v>2272.5</v>
      </c>
      <c r="J29" s="54">
        <f>C23</f>
        <v>88.601342134213425</v>
      </c>
      <c r="K29" s="2"/>
      <c r="L29" s="2"/>
      <c r="M29" s="2"/>
    </row>
    <row r="30" spans="2:256" ht="12.95" customHeight="1" thickBot="1" x14ac:dyDescent="0.25">
      <c r="B30" s="28" t="s">
        <v>31</v>
      </c>
      <c r="C30" s="29">
        <f>C20</f>
        <v>2128.5</v>
      </c>
      <c r="D30" s="55">
        <f>IF($C$30&lt;$C$27,$D$28,($D$27+($C$30-$C$27)*($D$26-$D$27)/($C$26-$C$27)))</f>
        <v>74</v>
      </c>
      <c r="E30" s="50">
        <v>93</v>
      </c>
      <c r="F30" s="2"/>
      <c r="G30" s="2"/>
      <c r="H30" s="56" t="s">
        <v>32</v>
      </c>
      <c r="I30" s="57">
        <f>C20</f>
        <v>2128.5</v>
      </c>
      <c r="J30" s="58">
        <f>C24</f>
        <v>88.168451961475228</v>
      </c>
      <c r="K30" s="2"/>
      <c r="L30" s="2"/>
      <c r="M30" s="2"/>
    </row>
    <row r="31" spans="2:256" ht="12.95" customHeight="1" x14ac:dyDescent="0.2">
      <c r="B31" s="2"/>
      <c r="C31" s="2"/>
      <c r="D31" s="3"/>
      <c r="F31" s="2"/>
      <c r="G31" s="2"/>
      <c r="H31" s="2"/>
      <c r="I31" s="2"/>
      <c r="J31" s="2"/>
      <c r="K31" s="2"/>
      <c r="L31" s="2"/>
      <c r="M31" s="2"/>
    </row>
    <row r="32" spans="2:256" ht="12.95" customHeight="1" x14ac:dyDescent="0.2">
      <c r="F32" s="2"/>
      <c r="G32" s="2"/>
      <c r="H32" s="2"/>
      <c r="I32" s="2"/>
      <c r="J32" s="2"/>
      <c r="K32" s="2"/>
      <c r="L32" s="2"/>
      <c r="M32" s="2"/>
    </row>
    <row r="33" spans="2:13" ht="12.95" customHeight="1" x14ac:dyDescent="0.2">
      <c r="F33" s="2"/>
      <c r="G33" s="2"/>
      <c r="H33" s="2"/>
      <c r="I33" s="2"/>
      <c r="J33" s="2"/>
      <c r="K33" s="2"/>
      <c r="L33" s="2"/>
      <c r="M33" s="2"/>
    </row>
    <row r="34" spans="2:13" ht="12.95" customHeight="1" x14ac:dyDescent="0.2">
      <c r="F34" s="2"/>
      <c r="G34" s="2"/>
      <c r="H34" s="2"/>
      <c r="I34" s="2"/>
      <c r="J34" s="2"/>
      <c r="K34" s="2"/>
      <c r="L34" s="2"/>
      <c r="M34" s="2"/>
    </row>
    <row r="35" spans="2:13" ht="12.95" customHeight="1" x14ac:dyDescent="0.2">
      <c r="F35" s="2"/>
      <c r="G35" s="2"/>
      <c r="H35" s="2"/>
      <c r="I35" s="2"/>
      <c r="J35" s="2"/>
      <c r="K35" s="2"/>
      <c r="L35" s="2"/>
      <c r="M35" s="2"/>
    </row>
    <row r="36" spans="2:13" ht="12.95" customHeight="1" x14ac:dyDescent="0.2">
      <c r="F36" s="2"/>
      <c r="G36" s="2"/>
      <c r="H36" s="2"/>
      <c r="I36" s="2"/>
      <c r="J36" s="2"/>
      <c r="K36" s="2"/>
      <c r="L36" s="2"/>
      <c r="M36" s="2"/>
    </row>
    <row r="37" spans="2:13" ht="12.95" customHeight="1" x14ac:dyDescent="0.2">
      <c r="G37" s="2"/>
      <c r="H37" s="2"/>
      <c r="I37" s="2"/>
      <c r="J37" s="2"/>
      <c r="K37" s="2"/>
      <c r="L37" s="2"/>
      <c r="M37" s="2"/>
    </row>
    <row r="38" spans="2:13" ht="12.95" customHeight="1" x14ac:dyDescent="0.2">
      <c r="G38" s="2"/>
      <c r="H38" s="2"/>
      <c r="I38" s="2"/>
      <c r="J38" s="2"/>
      <c r="K38" s="2"/>
      <c r="L38" s="2"/>
      <c r="M38" s="2"/>
    </row>
    <row r="39" spans="2:13" ht="12.95" customHeight="1" x14ac:dyDescent="0.2">
      <c r="G39" s="2"/>
      <c r="H39" s="2"/>
      <c r="I39" s="2"/>
      <c r="J39" s="2"/>
      <c r="K39" s="2"/>
      <c r="L39" s="2"/>
      <c r="M39" s="2"/>
    </row>
    <row r="40" spans="2:13" ht="12.95" customHeight="1" x14ac:dyDescent="0.2">
      <c r="H40" s="2"/>
      <c r="I40" s="2"/>
      <c r="J40" s="2"/>
      <c r="K40" s="2"/>
      <c r="L40" s="2"/>
      <c r="M40" s="2"/>
    </row>
    <row r="41" spans="2:13" ht="12.95" customHeight="1" x14ac:dyDescent="0.2">
      <c r="H41" s="2"/>
      <c r="I41" s="2"/>
      <c r="J41" s="2"/>
      <c r="K41" s="2"/>
      <c r="L41" s="2"/>
      <c r="M41" s="2"/>
    </row>
    <row r="42" spans="2:13" ht="12.95" customHeight="1" x14ac:dyDescent="0.2">
      <c r="B42" s="2"/>
      <c r="C42" s="2"/>
      <c r="D42" s="3"/>
      <c r="H42" s="2"/>
      <c r="I42" s="2"/>
      <c r="J42" s="2"/>
      <c r="K42" s="2"/>
      <c r="L42" s="2"/>
      <c r="M42" s="2"/>
    </row>
    <row r="43" spans="2:13" ht="12.95" customHeight="1" x14ac:dyDescent="0.2">
      <c r="B43" s="2"/>
      <c r="C43" s="2"/>
      <c r="D43" s="3"/>
      <c r="H43" s="2"/>
      <c r="I43" s="2"/>
      <c r="J43" s="2"/>
      <c r="K43" s="2"/>
      <c r="L43" s="2"/>
      <c r="M43" s="2"/>
    </row>
    <row r="44" spans="2:13" ht="12.95" customHeight="1" x14ac:dyDescent="0.2">
      <c r="B44" s="2"/>
      <c r="C44" s="2"/>
      <c r="D44" s="3"/>
      <c r="H44" s="2"/>
      <c r="I44" s="2"/>
      <c r="J44" s="2"/>
      <c r="K44" s="2"/>
      <c r="L44" s="2"/>
      <c r="M44" s="2"/>
    </row>
    <row r="45" spans="2:13" ht="12.95" customHeight="1" x14ac:dyDescent="0.2">
      <c r="B45" s="2"/>
      <c r="C45" s="2"/>
      <c r="D45" s="3"/>
      <c r="H45" s="2"/>
      <c r="I45" s="2"/>
      <c r="J45" s="2"/>
      <c r="K45" s="2"/>
      <c r="L45" s="2"/>
      <c r="M45" s="2"/>
    </row>
    <row r="46" spans="2:13" ht="12.95" customHeight="1" x14ac:dyDescent="0.2">
      <c r="B46" s="2"/>
      <c r="C46" s="2"/>
      <c r="D46" s="3"/>
      <c r="H46" s="2"/>
      <c r="I46" s="2"/>
      <c r="J46" s="2"/>
      <c r="K46" s="2"/>
      <c r="L46" s="2"/>
      <c r="M46" s="2"/>
    </row>
    <row r="47" spans="2:13" ht="12.95" customHeight="1" x14ac:dyDescent="0.2">
      <c r="B47" s="2"/>
      <c r="C47" s="2"/>
      <c r="D47" s="3"/>
      <c r="H47" s="2"/>
      <c r="I47" s="2"/>
      <c r="J47" s="2"/>
      <c r="K47" s="2"/>
      <c r="L47" s="2"/>
      <c r="M47" s="2"/>
    </row>
    <row r="48" spans="2:13" ht="12.95" customHeight="1" x14ac:dyDescent="0.2">
      <c r="B48" s="2"/>
      <c r="C48" s="2"/>
      <c r="D48" s="3"/>
    </row>
    <row r="49" spans="2:4" ht="12.95" customHeight="1" x14ac:dyDescent="0.2">
      <c r="B49" s="2"/>
      <c r="C49" s="2"/>
      <c r="D49" s="3"/>
    </row>
    <row r="50" spans="2:4" ht="12.95" customHeight="1" x14ac:dyDescent="0.2">
      <c r="B50" s="2"/>
      <c r="C50" s="2"/>
      <c r="D50" s="3"/>
    </row>
    <row r="51" spans="2:4" ht="12.95" customHeight="1" x14ac:dyDescent="0.2">
      <c r="B51" s="2"/>
      <c r="C51" s="2"/>
      <c r="D51" s="3"/>
    </row>
    <row r="52" spans="2:4" ht="12.95" customHeight="1" x14ac:dyDescent="0.2">
      <c r="B52" s="2"/>
      <c r="C52" s="2"/>
      <c r="D52" s="3"/>
    </row>
    <row r="53" spans="2:4" ht="12.95" customHeight="1" x14ac:dyDescent="0.2">
      <c r="B53" s="2"/>
      <c r="C53" s="2"/>
      <c r="D53" s="3"/>
    </row>
    <row r="54" spans="2:4" ht="12.95" customHeight="1" x14ac:dyDescent="0.2">
      <c r="B54" s="2"/>
      <c r="C54" s="2"/>
      <c r="D54" s="3"/>
    </row>
    <row r="55" spans="2:4" ht="12.95" customHeight="1" x14ac:dyDescent="0.2">
      <c r="B55" s="2"/>
      <c r="C55" s="2"/>
      <c r="D55" s="3"/>
    </row>
    <row r="56" spans="2:4" ht="12.95" customHeight="1" x14ac:dyDescent="0.2">
      <c r="B56" s="2"/>
      <c r="C56" s="2"/>
      <c r="D56" s="3"/>
    </row>
    <row r="57" spans="2:4" ht="12.95" customHeight="1" x14ac:dyDescent="0.2">
      <c r="C57" s="2"/>
      <c r="D57" s="3"/>
    </row>
    <row r="58" spans="2:4" ht="12.95" customHeight="1" x14ac:dyDescent="0.2">
      <c r="C58" s="2"/>
      <c r="D58" s="3"/>
    </row>
    <row r="59" spans="2:4" ht="12.95" customHeight="1" x14ac:dyDescent="0.2">
      <c r="C59" s="2"/>
      <c r="D59" s="3"/>
    </row>
    <row r="60" spans="2:4" ht="12.95" customHeight="1" x14ac:dyDescent="0.2">
      <c r="C60" s="2"/>
      <c r="D60" s="3"/>
    </row>
    <row r="61" spans="2:4" ht="12.95" customHeight="1" x14ac:dyDescent="0.2">
      <c r="C61" s="2"/>
      <c r="D61" s="3"/>
    </row>
    <row r="62" spans="2:4" ht="12.95" customHeight="1" x14ac:dyDescent="0.2">
      <c r="C62" s="2"/>
      <c r="D62" s="3"/>
    </row>
    <row r="63" spans="2:4" ht="12.95" customHeight="1" x14ac:dyDescent="0.2">
      <c r="C63" s="2"/>
      <c r="D63" s="3"/>
    </row>
    <row r="64" spans="2:4" ht="12.95" customHeight="1" x14ac:dyDescent="0.2">
      <c r="C64" s="2"/>
      <c r="D64" s="3"/>
    </row>
  </sheetData>
  <phoneticPr fontId="3" type="noConversion"/>
  <dataValidations xWindow="1222" yWindow="628" count="2">
    <dataValidation type="whole" allowBlank="1" showInputMessage="1" showErrorMessage="1" errorTitle="Fuel capacity" error="Maximum fuel 102 USG_x000a_Minimum recommended 25USG" promptTitle="Fuel capacity" prompt="Maximum useable fuel is 102 US Gallons (51 USG per tank) It is not adviseable to fly with less than quarter tanks - 12 USG per tank" sqref="C3">
      <formula1>25</formula1>
      <formula2>102</formula2>
    </dataValidation>
    <dataValidation type="whole" allowBlank="1" showInputMessage="1" showErrorMessage="1" errorTitle="Aft baggage limit " error="Weight limit exceeded! Maximum 100lbs." sqref="C13">
      <formula1>0</formula1>
      <formula2>100</formula2>
    </dataValidation>
  </dataValidations>
  <printOptions headings="1" gridLines="1"/>
  <pageMargins left="1" right="1" top="1" bottom="1" header="0.5" footer="0.5"/>
  <pageSetup paperSize="9" orientation="landscape" horizontalDpi="4294967293" r:id="rId1"/>
  <headerFooter alignWithMargins="0">
    <oddHeader>&amp;A</oddHeader>
    <oddFooter>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6"/>
  <sheetViews>
    <sheetView topLeftCell="A3" workbookViewId="0">
      <selection activeCell="G10" sqref="G10"/>
    </sheetView>
  </sheetViews>
  <sheetFormatPr defaultRowHeight="12.75" x14ac:dyDescent="0.2"/>
  <cols>
    <col min="1" max="1" width="4.7109375" style="59" customWidth="1"/>
    <col min="2" max="5" width="9.140625" style="59"/>
    <col min="6" max="6" width="11.140625" style="59" customWidth="1"/>
    <col min="7" max="7" width="9" style="59" customWidth="1"/>
    <col min="8" max="8" width="3" style="59" customWidth="1"/>
    <col min="9" max="9" width="10.42578125" style="59" customWidth="1"/>
    <col min="10" max="10" width="2.5703125" style="59" customWidth="1"/>
    <col min="11" max="11" width="10.85546875" style="59" customWidth="1"/>
    <col min="12" max="16384" width="9.140625" style="59"/>
  </cols>
  <sheetData>
    <row r="3" spans="2:12" ht="18.75" x14ac:dyDescent="0.3">
      <c r="D3" s="60" t="s">
        <v>54</v>
      </c>
    </row>
    <row r="5" spans="2:12" ht="48" thickBot="1" x14ac:dyDescent="0.3">
      <c r="F5" s="61" t="s">
        <v>33</v>
      </c>
      <c r="G5" s="61" t="s">
        <v>34</v>
      </c>
      <c r="H5" s="62"/>
      <c r="I5" s="61" t="s">
        <v>35</v>
      </c>
      <c r="J5" s="61"/>
      <c r="K5" s="61" t="s">
        <v>36</v>
      </c>
      <c r="L5" s="63"/>
    </row>
    <row r="6" spans="2:12" ht="13.5" thickTop="1" x14ac:dyDescent="0.2">
      <c r="B6" s="59" t="s">
        <v>37</v>
      </c>
      <c r="F6" s="64"/>
      <c r="G6" s="64">
        <v>1804.5</v>
      </c>
      <c r="H6" s="65"/>
      <c r="I6" s="59">
        <v>87.9</v>
      </c>
      <c r="K6" s="59">
        <v>158566.39999999999</v>
      </c>
    </row>
    <row r="7" spans="2:12" x14ac:dyDescent="0.2">
      <c r="B7" s="59" t="s">
        <v>38</v>
      </c>
      <c r="F7" s="64"/>
      <c r="G7" s="64">
        <v>200</v>
      </c>
      <c r="H7" s="66"/>
      <c r="I7" s="59">
        <v>80.5</v>
      </c>
      <c r="K7" s="59">
        <f>I7*G7</f>
        <v>16100</v>
      </c>
    </row>
    <row r="8" spans="2:12" x14ac:dyDescent="0.2">
      <c r="B8" s="59" t="s">
        <v>39</v>
      </c>
      <c r="F8" s="64"/>
      <c r="G8" s="64">
        <v>170</v>
      </c>
      <c r="I8" s="59">
        <v>80.5</v>
      </c>
      <c r="K8" s="59">
        <f>I8*G8</f>
        <v>13685</v>
      </c>
    </row>
    <row r="9" spans="2:12" x14ac:dyDescent="0.2">
      <c r="B9" s="59" t="s">
        <v>40</v>
      </c>
      <c r="F9" s="64"/>
      <c r="G9" s="64">
        <v>20</v>
      </c>
      <c r="I9" s="59">
        <v>118.1</v>
      </c>
      <c r="K9" s="59">
        <f>I9*G9</f>
        <v>2362</v>
      </c>
    </row>
    <row r="10" spans="2:12" x14ac:dyDescent="0.2">
      <c r="C10" s="59" t="s">
        <v>41</v>
      </c>
      <c r="F10" s="64">
        <v>72</v>
      </c>
      <c r="G10" s="64"/>
    </row>
    <row r="11" spans="2:12" x14ac:dyDescent="0.2">
      <c r="B11" s="73" t="s">
        <v>51</v>
      </c>
      <c r="F11" s="64">
        <v>72</v>
      </c>
      <c r="G11" s="64">
        <f>F11*6</f>
        <v>432</v>
      </c>
      <c r="I11" s="59">
        <v>95</v>
      </c>
      <c r="K11" s="59">
        <f>I11*G11</f>
        <v>41040</v>
      </c>
    </row>
    <row r="12" spans="2:12" x14ac:dyDescent="0.2">
      <c r="B12" s="59" t="s">
        <v>42</v>
      </c>
      <c r="F12" s="67" t="s">
        <v>43</v>
      </c>
      <c r="G12" s="64">
        <v>70</v>
      </c>
      <c r="I12" s="59">
        <v>142.80000000000001</v>
      </c>
      <c r="K12" s="59">
        <f>I12*G12</f>
        <v>9996</v>
      </c>
    </row>
    <row r="13" spans="2:12" x14ac:dyDescent="0.2">
      <c r="F13" s="64"/>
      <c r="G13" s="64"/>
    </row>
    <row r="14" spans="2:12" x14ac:dyDescent="0.2">
      <c r="B14" s="73" t="s">
        <v>52</v>
      </c>
      <c r="F14" s="64"/>
      <c r="G14" s="64">
        <f>SUM(G6:G13)</f>
        <v>2696.5</v>
      </c>
      <c r="I14" s="59">
        <f>K14/G14</f>
        <v>89.65303170776933</v>
      </c>
      <c r="K14" s="59">
        <f>SUM(K6:K13)</f>
        <v>241749.4</v>
      </c>
    </row>
    <row r="15" spans="2:12" x14ac:dyDescent="0.2">
      <c r="B15" s="59" t="s">
        <v>44</v>
      </c>
      <c r="F15" s="64"/>
      <c r="G15" s="64">
        <v>-12</v>
      </c>
      <c r="I15" s="59">
        <v>95</v>
      </c>
      <c r="K15" s="59">
        <f>I15*G15</f>
        <v>-1140</v>
      </c>
    </row>
    <row r="16" spans="2:12" x14ac:dyDescent="0.2">
      <c r="B16" s="73" t="s">
        <v>53</v>
      </c>
      <c r="F16" s="64"/>
      <c r="G16" s="64">
        <f>SUM(G14:G15)</f>
        <v>2684.5</v>
      </c>
      <c r="I16" s="59">
        <f>K16/G16</f>
        <v>89.629130191842052</v>
      </c>
      <c r="K16" s="59">
        <f>SUM(K14:K15)</f>
        <v>240609.4</v>
      </c>
    </row>
    <row r="17" spans="2:11" x14ac:dyDescent="0.2">
      <c r="F17" s="64"/>
      <c r="G17" s="64"/>
    </row>
    <row r="18" spans="2:11" x14ac:dyDescent="0.2">
      <c r="F18" s="64"/>
      <c r="G18" s="64"/>
    </row>
    <row r="19" spans="2:11" x14ac:dyDescent="0.2">
      <c r="B19" s="59" t="s">
        <v>45</v>
      </c>
      <c r="F19" s="64"/>
      <c r="G19" s="64">
        <f>G16</f>
        <v>2684.5</v>
      </c>
      <c r="I19" s="59">
        <f>K19/G19</f>
        <v>89.629130191842052</v>
      </c>
      <c r="K19" s="59">
        <f>K16</f>
        <v>240609.4</v>
      </c>
    </row>
    <row r="20" spans="2:11" x14ac:dyDescent="0.2">
      <c r="B20" s="59" t="s">
        <v>46</v>
      </c>
      <c r="F20" s="64">
        <v>24</v>
      </c>
      <c r="G20" s="64">
        <f>-F20*6</f>
        <v>-144</v>
      </c>
      <c r="I20" s="59">
        <v>-94</v>
      </c>
      <c r="K20" s="59">
        <f>I20*G20</f>
        <v>13536</v>
      </c>
    </row>
    <row r="21" spans="2:11" x14ac:dyDescent="0.2">
      <c r="B21" s="59" t="s">
        <v>47</v>
      </c>
      <c r="F21" s="64"/>
      <c r="G21" s="64">
        <f>G19+G20</f>
        <v>2540.5</v>
      </c>
      <c r="I21" s="59">
        <f>K21/G21</f>
        <v>89.381381617791774</v>
      </c>
      <c r="K21" s="59">
        <f>K19-K20</f>
        <v>227073.4</v>
      </c>
    </row>
    <row r="32" spans="2:11" x14ac:dyDescent="0.2">
      <c r="B32" s="59">
        <v>1400</v>
      </c>
      <c r="C32" s="59">
        <v>85.5</v>
      </c>
    </row>
    <row r="33" spans="2:3" x14ac:dyDescent="0.2">
      <c r="B33" s="59">
        <v>2400</v>
      </c>
      <c r="C33" s="59">
        <v>85.5</v>
      </c>
    </row>
    <row r="34" spans="2:3" x14ac:dyDescent="0.2">
      <c r="B34" s="59">
        <v>2750</v>
      </c>
      <c r="C34" s="59">
        <v>90</v>
      </c>
    </row>
    <row r="35" spans="2:3" x14ac:dyDescent="0.2">
      <c r="B35" s="59">
        <v>2750</v>
      </c>
      <c r="C35" s="59">
        <v>93</v>
      </c>
    </row>
    <row r="36" spans="2:3" x14ac:dyDescent="0.2">
      <c r="B36" s="59">
        <v>1400</v>
      </c>
      <c r="C36" s="59">
        <v>93</v>
      </c>
    </row>
  </sheetData>
  <phoneticPr fontId="3" type="noConversion"/>
  <dataValidations count="1">
    <dataValidation type="whole" allowBlank="1" showInputMessage="1" showErrorMessage="1" errorTitle="Max fuel capacity exceeded" error="Maximum 102 US gallons_x000a_(minimum 25 USG)" sqref="F11">
      <formula1>25</formula1>
      <formula2>102</formula2>
    </dataValidation>
  </dataValidation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Weight &amp; Balance </vt:lpstr>
      <vt:lpstr>W&amp;B calculator 2</vt:lpstr>
      <vt:lpstr>W&amp;B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Squires</dc:creator>
  <cp:lastModifiedBy>Paul Squires</cp:lastModifiedBy>
  <dcterms:created xsi:type="dcterms:W3CDTF">2007-08-22T19:00:41Z</dcterms:created>
  <dcterms:modified xsi:type="dcterms:W3CDTF">2020-05-01T14:23:11Z</dcterms:modified>
</cp:coreProperties>
</file>